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1370"/>
  </bookViews>
  <sheets>
    <sheet name="重量計算" sheetId="1" r:id="rId1"/>
    <sheet name="送料" sheetId="6" r:id="rId2"/>
    <sheet name="PP送料" sheetId="7" r:id="rId3"/>
    <sheet name="格安送料" sheetId="10" r:id="rId4"/>
    <sheet name="格安送料(PP)" sheetId="11" r:id="rId5"/>
    <sheet name="為替レート" sheetId="9" state="hidden" r:id="rId6"/>
    <sheet name="梱包計測サービス" sheetId="5" state="hidden" r:id="rId7"/>
    <sheet name="重量計測" sheetId="4" state="hidden" r:id="rId8"/>
    <sheet name="商品計測" sheetId="3" state="hidden" r:id="rId9"/>
    <sheet name="詳細検品" sheetId="2" state="hidden" r:id="rId10"/>
  </sheets>
  <definedNames>
    <definedName name="ExchangeServlet?ScreenID_tento" localSheetId="5">為替レート!$A$1:$E$89</definedName>
    <definedName name="_xlnm.Print_Area" localSheetId="0">重量計算!$A$2:$D$17</definedName>
  </definedNames>
  <calcPr calcId="152511"/>
</workbook>
</file>

<file path=xl/calcChain.xml><?xml version="1.0" encoding="utf-8"?>
<calcChain xmlns="http://schemas.openxmlformats.org/spreadsheetml/2006/main">
  <c r="B3" i="11" l="1"/>
  <c r="B3" i="10"/>
  <c r="B3" i="6"/>
  <c r="D14" i="1" l="1"/>
  <c r="C14" i="1" l="1"/>
  <c r="A3" i="10" l="1"/>
  <c r="F5" i="10" l="1"/>
  <c r="F4" i="10"/>
  <c r="A3" i="11"/>
  <c r="A3" i="6"/>
  <c r="F6" i="10" s="1"/>
  <c r="F9" i="10" l="1"/>
  <c r="F7" i="10"/>
  <c r="F8" i="10"/>
  <c r="F17" i="6"/>
  <c r="F13" i="6"/>
  <c r="F16" i="6"/>
  <c r="F15" i="6"/>
  <c r="F14" i="6"/>
  <c r="F6" i="11"/>
  <c r="F9" i="11"/>
  <c r="F5" i="11"/>
  <c r="F8" i="11"/>
  <c r="F4" i="11"/>
  <c r="F7" i="11"/>
  <c r="F4" i="6"/>
  <c r="F8" i="6"/>
  <c r="F5" i="6"/>
  <c r="F9" i="6"/>
  <c r="F6" i="6"/>
  <c r="F7" i="6"/>
  <c r="A3" i="7" l="1"/>
  <c r="F14" i="7" l="1"/>
  <c r="F13" i="7"/>
  <c r="F16" i="7"/>
  <c r="F12" i="7"/>
  <c r="F15" i="7"/>
  <c r="F4" i="7"/>
  <c r="F5" i="7"/>
  <c r="F8" i="7"/>
  <c r="F7" i="7"/>
  <c r="F6" i="7"/>
  <c r="B3" i="7" l="1"/>
  <c r="C12" i="1"/>
  <c r="C13" i="1" s="1"/>
  <c r="C15" i="1" s="1"/>
</calcChain>
</file>

<file path=xl/comments1.xml><?xml version="1.0" encoding="utf-8"?>
<comments xmlns="http://schemas.openxmlformats.org/spreadsheetml/2006/main">
  <authors>
    <author>作成者</author>
  </authors>
  <commentList>
    <comment ref="C4" authorId="0" shapeId="0">
      <text>
        <r>
          <rPr>
            <b/>
            <sz val="10"/>
            <color indexed="81"/>
            <rFont val="Meiryo UI"/>
            <family val="3"/>
            <charset val="128"/>
          </rPr>
          <t>[SAKURA会員]</t>
        </r>
        <r>
          <rPr>
            <sz val="10"/>
            <color indexed="81"/>
            <rFont val="Meiryo UI"/>
            <family val="3"/>
            <charset val="128"/>
          </rPr>
          <t xml:space="preserve">
現在、桜トレードの会員となっている
通常の会員様となります。
</t>
        </r>
        <r>
          <rPr>
            <b/>
            <sz val="10"/>
            <color indexed="81"/>
            <rFont val="Meiryo UI"/>
            <family val="3"/>
            <charset val="128"/>
          </rPr>
          <t>[PP会員]</t>
        </r>
        <r>
          <rPr>
            <sz val="10"/>
            <color indexed="81"/>
            <rFont val="Meiryo UI"/>
            <family val="3"/>
            <charset val="128"/>
          </rPr>
          <t xml:space="preserve">
国際送料が安いプレミアムプランご加入の
会員様となります。</t>
        </r>
      </text>
    </comment>
  </commentList>
</comments>
</file>

<file path=xl/connections.xml><?xml version="1.0" encoding="utf-8"?>
<connections xmlns="http://schemas.openxmlformats.org/spreadsheetml/2006/main">
  <connection id="1" name="接続" type="4" refreshedVersion="5" background="1" refreshOnLoad="1" saveData="1">
    <webPr sourceData="1" parsePre="1" consecutive="1" xl2000="1" url="http://www.smbc.co.jp/ex/ExchangeServlet?ScreenID=tento"/>
  </connection>
</connections>
</file>

<file path=xl/sharedStrings.xml><?xml version="1.0" encoding="utf-8"?>
<sst xmlns="http://schemas.openxmlformats.org/spreadsheetml/2006/main" count="245" uniqueCount="180">
  <si>
    <t>②　お届け先入力</t>
    <rPh sb="3" eb="4">
      <t>トド</t>
    </rPh>
    <rPh sb="5" eb="6">
      <t>サキ</t>
    </rPh>
    <rPh sb="6" eb="8">
      <t>ニュウリョク</t>
    </rPh>
    <phoneticPr fontId="1"/>
  </si>
  <si>
    <t>項目</t>
  </si>
  <si>
    <t>詳細検品</t>
  </si>
  <si>
    <t>※スペース：0.5m x 0.5m x 0.5m毎</t>
  </si>
  <si>
    <t>料金表</t>
  </si>
  <si>
    <t>価格</t>
  </si>
  <si>
    <t>検品サービス</t>
  </si>
  <si>
    <t>簡易検品</t>
  </si>
  <si>
    <t>無料</t>
  </si>
  <si>
    <t>3元/個</t>
  </si>
  <si>
    <t>詳細検品＋検針</t>
  </si>
  <si>
    <t>検針のみ</t>
  </si>
  <si>
    <t>サイズ計測（写真なし）</t>
  </si>
  <si>
    <t>サイズ計測（写真あり）</t>
  </si>
  <si>
    <t>複数商品のセット化</t>
  </si>
  <si>
    <t>2元/セット</t>
  </si>
  <si>
    <t>2017年9月25日注文分より開始</t>
  </si>
  <si>
    <t>指定パッケージの入れ替え</t>
  </si>
  <si>
    <t>2元/個</t>
  </si>
  <si>
    <t>エアキャップによる商品梱包</t>
  </si>
  <si>
    <t>※破損しやすいものにご利用ください。</t>
  </si>
  <si>
    <t>説明書の同封</t>
  </si>
  <si>
    <t>2元/枚</t>
  </si>
  <si>
    <t>紙タグ外し</t>
  </si>
  <si>
    <t>1.5元/個</t>
  </si>
  <si>
    <t>布タグ外し</t>
  </si>
  <si>
    <t>二重段ボール（輸送箱）</t>
  </si>
  <si>
    <t>10元/個</t>
  </si>
  <si>
    <t>保管料</t>
  </si>
  <si>
    <t>300円/月</t>
  </si>
  <si>
    <t>※上記は全て税抜価格です。</t>
  </si>
  <si>
    <t xml:space="preserve">商品計測　サイズ計測（写真あり） </t>
    <phoneticPr fontId="1"/>
  </si>
  <si>
    <t>商品計測　サイズ計測（写真なし）</t>
    <phoneticPr fontId="1"/>
  </si>
  <si>
    <t>商品の梱包重量計測（写真あり）</t>
    <rPh sb="7" eb="9">
      <t>ケイソク</t>
    </rPh>
    <phoneticPr fontId="1"/>
  </si>
  <si>
    <t>商品の梱包重量計測（写真なし）</t>
    <rPh sb="7" eb="9">
      <t>ケイソク</t>
    </rPh>
    <phoneticPr fontId="1"/>
  </si>
  <si>
    <t>商品の梱包サイズ計測(写真あり)</t>
    <rPh sb="0" eb="2">
      <t>ショウヒン</t>
    </rPh>
    <rPh sb="3" eb="5">
      <t>コンポウ</t>
    </rPh>
    <rPh sb="8" eb="10">
      <t>ケイソク</t>
    </rPh>
    <phoneticPr fontId="1"/>
  </si>
  <si>
    <t>商品の梱包サイズ計測(写真なし)</t>
    <phoneticPr fontId="1"/>
  </si>
  <si>
    <t>商品計測重量　（写真あり）</t>
    <rPh sb="0" eb="2">
      <t>ショウヒン</t>
    </rPh>
    <rPh sb="2" eb="4">
      <t>ケイソク</t>
    </rPh>
    <rPh sb="4" eb="6">
      <t>ジュウリョウ</t>
    </rPh>
    <rPh sb="8" eb="10">
      <t>シャシン</t>
    </rPh>
    <phoneticPr fontId="1"/>
  </si>
  <si>
    <t>商品計測重量　（写真なし）</t>
    <rPh sb="0" eb="2">
      <t>ショウヒン</t>
    </rPh>
    <rPh sb="2" eb="4">
      <t>ケイソク</t>
    </rPh>
    <rPh sb="4" eb="6">
      <t>ジュウリョウ</t>
    </rPh>
    <rPh sb="8" eb="10">
      <t>シャシン</t>
    </rPh>
    <phoneticPr fontId="1"/>
  </si>
  <si>
    <t>送料</t>
    <rPh sb="0" eb="2">
      <t>ソウリョウ</t>
    </rPh>
    <phoneticPr fontId="1"/>
  </si>
  <si>
    <t>日本行き</t>
    <rPh sb="0" eb="2">
      <t>ニホン</t>
    </rPh>
    <rPh sb="2" eb="3">
      <t>ユ</t>
    </rPh>
    <phoneticPr fontId="1"/>
  </si>
  <si>
    <t>28元</t>
    <rPh sb="2" eb="3">
      <t>ゲン</t>
    </rPh>
    <phoneticPr fontId="1"/>
  </si>
  <si>
    <t>11kg未満</t>
    <rPh sb="4" eb="6">
      <t>ミマン</t>
    </rPh>
    <phoneticPr fontId="1"/>
  </si>
  <si>
    <t>11-20kg</t>
    <phoneticPr fontId="1"/>
  </si>
  <si>
    <t>21-50kg</t>
    <phoneticPr fontId="1"/>
  </si>
  <si>
    <t>51-100kg</t>
    <phoneticPr fontId="1"/>
  </si>
  <si>
    <t>101-200kg</t>
    <phoneticPr fontId="1"/>
  </si>
  <si>
    <t>22kg未満</t>
    <rPh sb="4" eb="6">
      <t>ミマン</t>
    </rPh>
    <phoneticPr fontId="1"/>
  </si>
  <si>
    <t>1000元</t>
    <rPh sb="4" eb="5">
      <t>ゲン</t>
    </rPh>
    <phoneticPr fontId="1"/>
  </si>
  <si>
    <t>22-30kg</t>
    <phoneticPr fontId="1"/>
  </si>
  <si>
    <t>48元</t>
    <rPh sb="2" eb="3">
      <t>ゲン</t>
    </rPh>
    <phoneticPr fontId="1"/>
  </si>
  <si>
    <t>29元</t>
    <rPh sb="2" eb="3">
      <t>ゲン</t>
    </rPh>
    <phoneticPr fontId="1"/>
  </si>
  <si>
    <t>30元</t>
    <rPh sb="2" eb="3">
      <t>ゲン</t>
    </rPh>
    <phoneticPr fontId="1"/>
  </si>
  <si>
    <t>35元</t>
    <rPh sb="2" eb="3">
      <t>ゲン</t>
    </rPh>
    <phoneticPr fontId="1"/>
  </si>
  <si>
    <t>31-50kg</t>
    <phoneticPr fontId="1"/>
  </si>
  <si>
    <t>44元</t>
    <rPh sb="2" eb="3">
      <t>ゲン</t>
    </rPh>
    <phoneticPr fontId="1"/>
  </si>
  <si>
    <t>51-70kg</t>
    <phoneticPr fontId="1"/>
  </si>
  <si>
    <t>41元</t>
    <rPh sb="2" eb="3">
      <t>ゲン</t>
    </rPh>
    <phoneticPr fontId="1"/>
  </si>
  <si>
    <t>21kg未満</t>
    <rPh sb="4" eb="6">
      <t>ミマン</t>
    </rPh>
    <phoneticPr fontId="1"/>
  </si>
  <si>
    <t>21-50kg</t>
    <phoneticPr fontId="1"/>
  </si>
  <si>
    <t>18元</t>
    <rPh sb="2" eb="3">
      <t>ゲン</t>
    </rPh>
    <phoneticPr fontId="1"/>
  </si>
  <si>
    <t>51-100kg</t>
    <phoneticPr fontId="1"/>
  </si>
  <si>
    <t>17元</t>
    <rPh sb="2" eb="3">
      <t>ゲン</t>
    </rPh>
    <phoneticPr fontId="1"/>
  </si>
  <si>
    <t>101-200kg</t>
    <phoneticPr fontId="1"/>
  </si>
  <si>
    <t>16元</t>
    <rPh sb="2" eb="3">
      <t>ゲン</t>
    </rPh>
    <phoneticPr fontId="1"/>
  </si>
  <si>
    <t>15元</t>
    <rPh sb="2" eb="3">
      <t>ゲン</t>
    </rPh>
    <phoneticPr fontId="1"/>
  </si>
  <si>
    <t>950元</t>
    <rPh sb="3" eb="4">
      <t>ゲン</t>
    </rPh>
    <phoneticPr fontId="1"/>
  </si>
  <si>
    <t>39元</t>
    <rPh sb="2" eb="3">
      <t>ゲン</t>
    </rPh>
    <phoneticPr fontId="1"/>
  </si>
  <si>
    <t>38元</t>
    <rPh sb="2" eb="3">
      <t>ゲン</t>
    </rPh>
    <phoneticPr fontId="1"/>
  </si>
  <si>
    <t>51-200kg</t>
    <phoneticPr fontId="1"/>
  </si>
  <si>
    <t>37元</t>
    <rPh sb="2" eb="3">
      <t>ゲン</t>
    </rPh>
    <phoneticPr fontId="1"/>
  </si>
  <si>
    <t>36元</t>
    <rPh sb="2" eb="3">
      <t>ゲン</t>
    </rPh>
    <phoneticPr fontId="1"/>
  </si>
  <si>
    <t>単価</t>
    <rPh sb="0" eb="2">
      <t>タンカ</t>
    </rPh>
    <phoneticPr fontId="1"/>
  </si>
  <si>
    <t>95元(500g以下)
以降28元/500g</t>
    <rPh sb="2" eb="3">
      <t>ゲン</t>
    </rPh>
    <rPh sb="8" eb="10">
      <t>イカ</t>
    </rPh>
    <rPh sb="12" eb="14">
      <t>イコウ</t>
    </rPh>
    <rPh sb="16" eb="17">
      <t>ゲン</t>
    </rPh>
    <phoneticPr fontId="1"/>
  </si>
  <si>
    <t>容積重量</t>
    <rPh sb="0" eb="2">
      <t>ヨウセキ</t>
    </rPh>
    <rPh sb="2" eb="4">
      <t>ジュウリョウ</t>
    </rPh>
    <phoneticPr fontId="1"/>
  </si>
  <si>
    <t>78元(500ｇ以下)
以降16.5元/500g</t>
    <rPh sb="2" eb="3">
      <t>ゲン</t>
    </rPh>
    <rPh sb="8" eb="10">
      <t>イカ</t>
    </rPh>
    <rPh sb="12" eb="14">
      <t>イコウ</t>
    </rPh>
    <rPh sb="18" eb="19">
      <t>ゲン</t>
    </rPh>
    <phoneticPr fontId="1"/>
  </si>
  <si>
    <t>201～</t>
    <phoneticPr fontId="1"/>
  </si>
  <si>
    <t>71～</t>
    <phoneticPr fontId="1"/>
  </si>
  <si>
    <t>①　会員入力</t>
    <rPh sb="2" eb="4">
      <t>カイイン</t>
    </rPh>
    <rPh sb="4" eb="6">
      <t>ニュウリョク</t>
    </rPh>
    <phoneticPr fontId="1"/>
  </si>
  <si>
    <t>当ウェブサイトでは、JavaScriptを使用しているページがございます。お使いのブラウザでJavaScript機能を無効にされている場合、正しく機能しない、もしくは正しく表示されないことがあります。ご覧になる際にはブラウザ設定でJavaScriptを有効にしてください。</t>
  </si>
  <si>
    <t>ホーム</t>
  </si>
  <si>
    <t>金利一覧・外国為替相場</t>
  </si>
  <si>
    <t>外国為替相場</t>
  </si>
  <si>
    <t>店頭・電話での為替レート</t>
  </si>
  <si>
    <t>戻る</t>
  </si>
  <si>
    <t>店頭・電話で外貨預金等のお手続きをする場合の外国為替相場です。</t>
  </si>
  <si>
    <t>店頭・電話でお取り扱いしている通貨は「取扱」欄に○印のあるものです。</t>
  </si>
  <si>
    <t>なお、本為替レートは外貨両替の為替レートとは異なります。</t>
  </si>
  <si>
    <t>米ドル、ユーロ、英ポンド、スイスフラン、オーストラリアドル、ニュージーランドドルの6通貨は、原則として8:00頃、10:00頃、15:00頃、 18:00頃に更新されます。</t>
  </si>
  <si>
    <t>それ以外の通貨は、11:00時頃に更新されます。</t>
  </si>
  <si>
    <t>通貨（通貨単位）</t>
  </si>
  <si>
    <t>為替レート（円）</t>
  </si>
  <si>
    <t>取扱</t>
  </si>
  <si>
    <t>外貨→円貨</t>
  </si>
  <si>
    <t>（TTB）</t>
  </si>
  <si>
    <t>円貨→外貨</t>
  </si>
  <si>
    <t>（TTS）</t>
  </si>
  <si>
    <t>店頭</t>
  </si>
  <si>
    <t>電話</t>
  </si>
  <si>
    <t>米ドル（1 USD）</t>
  </si>
  <si>
    <t>○</t>
  </si>
  <si>
    <t>カナダドル（1 CAD）</t>
  </si>
  <si>
    <t>ブラジルレアル（1 BRL）</t>
  </si>
  <si>
    <t>メキシコペソ（1 MXN）</t>
  </si>
  <si>
    <t>ユーロ（1 EUR）</t>
  </si>
  <si>
    <t>英ポンド（1 GBP）</t>
  </si>
  <si>
    <t>スイスフラン（1 CHF）</t>
  </si>
  <si>
    <t>スウェーデンクローネ（1 SEK）</t>
  </si>
  <si>
    <t>デンマーククローネ（1 DKK）</t>
  </si>
  <si>
    <t>ノルウェークローネ（1 NOK）</t>
  </si>
  <si>
    <t>中国人民元（RMB）（1 CNY）</t>
  </si>
  <si>
    <t>香港ドル（1 HKD）</t>
  </si>
  <si>
    <t>タイバーツ（100 THB）</t>
  </si>
  <si>
    <t>シンガポールドル（1 SGD）</t>
  </si>
  <si>
    <t>オーストラリアドル（1 AUD）</t>
  </si>
  <si>
    <t>ニュージーランドドル（1 NZD）</t>
  </si>
  <si>
    <t>トルコリラ（1 TRY）</t>
  </si>
  <si>
    <t>南アフリカランド（1 ZAR）</t>
  </si>
  <si>
    <t>リアルタイム為替レートはこちら</t>
  </si>
  <si>
    <t>※15:00以降に店頭（書面）で受け付けた場合は、上記表示の為替レートとは異なる場合があります。</t>
  </si>
  <si>
    <t>※上記為替レートは、10万米ドル相当額未満の外貨預金取引に適用される、当行の公表為替レートです。</t>
  </si>
  <si>
    <t>10万米ドル相当額以上のお預け入れ・お引き出し時の為替レートは、市場実勢相場を基準に設定します。</t>
  </si>
  <si>
    <t>外貨預金に関する留意点はこちら</t>
  </si>
  <si>
    <t>※お取引時の為替相場の動向等によっては、上記為替レートが適用されない場合がありますので、あらかじめご了承ください。</t>
  </si>
  <si>
    <t>その他の通貨について</t>
  </si>
  <si>
    <t>以下の通貨は外貨預金等のお取扱は原則しておりません。</t>
  </si>
  <si>
    <t>外貨宅配のみのお取扱となります。</t>
  </si>
  <si>
    <t>外貨宅配についてくわしくはこちら</t>
  </si>
  <si>
    <t>外貨宅配専用為替レート</t>
  </si>
  <si>
    <t>ヨーロッパ</t>
  </si>
  <si>
    <t>●チェココルナ</t>
  </si>
  <si>
    <t>●ポーランドズロチ</t>
  </si>
  <si>
    <t>●ハンガリーフォリント</t>
  </si>
  <si>
    <t>●ロシアルーブル</t>
  </si>
  <si>
    <t>アジア</t>
  </si>
  <si>
    <t>●韓国ウォン</t>
  </si>
  <si>
    <t>●ニュー台湾ドル</t>
  </si>
  <si>
    <t>●フィリピンペソ</t>
  </si>
  <si>
    <t>●マレーシアリンギット</t>
  </si>
  <si>
    <t>●ブルネイドル</t>
  </si>
  <si>
    <t>●インドネシアルピア</t>
  </si>
  <si>
    <t>●ベトナムドン</t>
  </si>
  <si>
    <t>オセアニア</t>
  </si>
  <si>
    <t>●フィジードル</t>
  </si>
  <si>
    <t>●パシフィックフラン</t>
  </si>
  <si>
    <t>中東・アフリカ</t>
  </si>
  <si>
    <t>●サウジアラビアリヤル</t>
  </si>
  <si>
    <t>●UAEディルハム</t>
  </si>
  <si>
    <t>●カタールリヤル</t>
  </si>
  <si>
    <t>●イスラエルシュケル</t>
  </si>
  <si>
    <t>●エジプトポンド</t>
  </si>
  <si>
    <t>合計(KG)</t>
    <rPh sb="0" eb="2">
      <t>ゴウケイ</t>
    </rPh>
    <phoneticPr fontId="1"/>
  </si>
  <si>
    <t>送料（元）</t>
    <rPh sb="0" eb="2">
      <t>ソウリョウ</t>
    </rPh>
    <rPh sb="3" eb="4">
      <t>ゲン</t>
    </rPh>
    <phoneticPr fontId="1"/>
  </si>
  <si>
    <t>30-70kg</t>
    <phoneticPr fontId="1"/>
  </si>
  <si>
    <t>32元</t>
    <rPh sb="2" eb="3">
      <t>ゲン</t>
    </rPh>
    <phoneticPr fontId="1"/>
  </si>
  <si>
    <t>31元</t>
    <rPh sb="2" eb="3">
      <t>ゲン</t>
    </rPh>
    <phoneticPr fontId="1"/>
  </si>
  <si>
    <t>27元</t>
    <rPh sb="2" eb="3">
      <t>ゲン</t>
    </rPh>
    <phoneticPr fontId="1"/>
  </si>
  <si>
    <t>71-150kg</t>
    <phoneticPr fontId="1"/>
  </si>
  <si>
    <t>151-300kg</t>
    <phoneticPr fontId="1"/>
  </si>
  <si>
    <t>301-500kg</t>
    <phoneticPr fontId="1"/>
  </si>
  <si>
    <t>201～</t>
    <phoneticPr fontId="1"/>
  </si>
  <si>
    <t>1001～</t>
    <phoneticPr fontId="1"/>
  </si>
  <si>
    <t>501-1,000kg</t>
    <phoneticPr fontId="1"/>
  </si>
  <si>
    <t>26元</t>
    <rPh sb="2" eb="3">
      <t>ゲン</t>
    </rPh>
    <phoneticPr fontId="1"/>
  </si>
  <si>
    <t>25元</t>
    <rPh sb="2" eb="3">
      <t>ゲン</t>
    </rPh>
    <phoneticPr fontId="1"/>
  </si>
  <si>
    <t>米国/カナダ行き</t>
    <rPh sb="0" eb="2">
      <t>ベイコク</t>
    </rPh>
    <rPh sb="6" eb="7">
      <t>ユ</t>
    </rPh>
    <phoneticPr fontId="1"/>
  </si>
  <si>
    <t>30-70kg</t>
    <phoneticPr fontId="1"/>
  </si>
  <si>
    <t>151-300kg</t>
    <phoneticPr fontId="1"/>
  </si>
  <si>
    <t>1001～</t>
    <phoneticPr fontId="1"/>
  </si>
  <si>
    <t>※プルダウンで選択</t>
    <phoneticPr fontId="2"/>
  </si>
  <si>
    <t>※プルダウンで選択</t>
    <phoneticPr fontId="2"/>
  </si>
  <si>
    <t>国際送料</t>
    <phoneticPr fontId="2"/>
  </si>
  <si>
    <t>※重量と容積重量
の大きい方をご記入ください。</t>
    <rPh sb="1" eb="3">
      <t>ジュウリョウ</t>
    </rPh>
    <rPh sb="4" eb="8">
      <t>ヨウセキジュウリョウ</t>
    </rPh>
    <rPh sb="10" eb="11">
      <t>オオ</t>
    </rPh>
    <rPh sb="13" eb="14">
      <t>ホウ</t>
    </rPh>
    <rPh sb="16" eb="18">
      <t>キニュウ</t>
    </rPh>
    <phoneticPr fontId="2"/>
  </si>
  <si>
    <t>国際送料</t>
    <rPh sb="0" eb="2">
      <t>コクサイ</t>
    </rPh>
    <rPh sb="2" eb="4">
      <t>ソウリョウ</t>
    </rPh>
    <phoneticPr fontId="2"/>
  </si>
  <si>
    <t>国際送料シミュレーター</t>
    <rPh sb="0" eb="2">
      <t>コクサイ</t>
    </rPh>
    <rPh sb="2" eb="4">
      <t>ソウリョウ</t>
    </rPh>
    <phoneticPr fontId="2"/>
  </si>
  <si>
    <t>※上記には関税や消費税等含まれておりません</t>
    <rPh sb="1" eb="3">
      <t>ジョウキ</t>
    </rPh>
    <rPh sb="5" eb="7">
      <t>カンゼイ</t>
    </rPh>
    <rPh sb="8" eb="11">
      <t>ショウヒゼイ</t>
    </rPh>
    <rPh sb="11" eb="12">
      <t>ナド</t>
    </rPh>
    <rPh sb="12" eb="13">
      <t>フク</t>
    </rPh>
    <phoneticPr fontId="2"/>
  </si>
  <si>
    <t>③　重量入力（kg）</t>
    <rPh sb="2" eb="4">
      <t>ジュウリョウ</t>
    </rPh>
    <rPh sb="4" eb="6">
      <t>ニュウリョク</t>
    </rPh>
    <phoneticPr fontId="1"/>
  </si>
  <si>
    <r>
      <t>為替レート</t>
    </r>
    <r>
      <rPr>
        <sz val="11"/>
        <color theme="1"/>
        <rFont val="Meiryo UI"/>
        <family val="3"/>
        <charset val="128"/>
      </rPr>
      <t>（+1）</t>
    </r>
    <rPh sb="0" eb="2">
      <t>カワセ</t>
    </rPh>
    <phoneticPr fontId="2"/>
  </si>
  <si>
    <t>燃油サーチャージ</t>
    <rPh sb="0" eb="2">
      <t>ネンユ</t>
    </rPh>
    <phoneticPr fontId="2"/>
  </si>
  <si>
    <t>（2018年2月13日 午後3時1分 現在）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</si>
</sst>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0\ &quot;円&quot;"/>
    <numFmt numFmtId="177" formatCode="#,##0\ &quot;円&quot;;[Red]\-#,##0\ &quot;円&quot;"/>
    <numFmt numFmtId="178" formatCode="#,##0\ &quot;kg&quot;;[Red]\-#,##0\ &quot;kg&quot;"/>
    <numFmt numFmtId="179" formatCode="#,##0\ &quot;元&quot;;[Red]\-#,##0\ &quot;元&quot;"/>
    <numFmt numFmtId="180" formatCode="yyyy/m/d\ &quot;現&quot;&quot;在&quot;"/>
  </numFmts>
  <fonts count="27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6"/>
      <name val="宋体"/>
      <family val="3"/>
      <charset val="134"/>
    </font>
    <font>
      <sz val="11"/>
      <color indexed="8"/>
      <name val="ＭＳ Ｐゴシック"/>
      <family val="3"/>
      <charset val="128"/>
    </font>
    <font>
      <sz val="12"/>
      <name val="宋体"/>
      <charset val="134"/>
    </font>
    <font>
      <sz val="11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  <font>
      <sz val="16"/>
      <name val="Meiryo UI"/>
      <family val="3"/>
      <charset val="128"/>
    </font>
    <font>
      <sz val="16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Meiryo UI"/>
      <family val="3"/>
      <charset val="128"/>
    </font>
    <font>
      <sz val="16"/>
      <color theme="1" tint="0.34998626667073579"/>
      <name val="Meiryo UI"/>
      <family val="3"/>
      <charset val="128"/>
    </font>
    <font>
      <sz val="16"/>
      <name val="宋体"/>
      <charset val="134"/>
    </font>
    <font>
      <sz val="16"/>
      <color indexed="8"/>
      <name val="ＭＳ Ｐゴシック"/>
      <family val="3"/>
      <charset val="128"/>
    </font>
    <font>
      <sz val="16"/>
      <color indexed="16"/>
      <name val="ＭＳ Ｐゴシック"/>
      <family val="3"/>
      <charset val="128"/>
    </font>
    <font>
      <b/>
      <sz val="20"/>
      <name val="Meiryo UI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6"/>
      <color rgb="FFFF0000"/>
      <name val="ＭＳ Ｐゴシック"/>
      <family val="2"/>
      <scheme val="minor"/>
    </font>
    <font>
      <sz val="16"/>
      <color rgb="FFFF0000"/>
      <name val="宋体"/>
      <charset val="134"/>
    </font>
    <font>
      <sz val="10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0"/>
      <color indexed="81"/>
      <name val="Meiryo UI"/>
      <family val="3"/>
      <charset val="128"/>
    </font>
    <font>
      <sz val="10"/>
      <color indexed="8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4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0" fillId="0" borderId="0" xfId="0" applyAlignment="1">
      <alignment horizontal="left"/>
    </xf>
    <xf numFmtId="0" fontId="6" fillId="0" borderId="0" xfId="0" applyFont="1"/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2" xfId="0" applyFont="1" applyBorder="1"/>
    <xf numFmtId="0" fontId="11" fillId="3" borderId="1" xfId="2" applyNumberFormat="1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" xfId="0" applyNumberFormat="1" applyFont="1" applyBorder="1" applyAlignment="1" applyProtection="1">
      <alignment horizontal="center" vertical="center" wrapText="1"/>
      <protection locked="0"/>
    </xf>
    <xf numFmtId="176" fontId="12" fillId="0" borderId="1" xfId="0" applyNumberFormat="1" applyFont="1" applyBorder="1" applyAlignment="1" applyProtection="1">
      <alignment horizontal="right" vertical="center" wrapText="1"/>
      <protection locked="0"/>
    </xf>
    <xf numFmtId="0" fontId="11" fillId="0" borderId="1" xfId="0" applyNumberFormat="1" applyFont="1" applyFill="1" applyBorder="1" applyAlignment="1" applyProtection="1">
      <alignment vertical="center" shrinkToFit="1"/>
      <protection locked="0"/>
    </xf>
    <xf numFmtId="0" fontId="12" fillId="2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Font="1" applyBorder="1"/>
    <xf numFmtId="0" fontId="9" fillId="0" borderId="5" xfId="0" applyFont="1" applyBorder="1"/>
    <xf numFmtId="0" fontId="9" fillId="0" borderId="1" xfId="0" applyFont="1" applyBorder="1" applyAlignment="1">
      <alignment wrapText="1"/>
    </xf>
    <xf numFmtId="56" fontId="9" fillId="0" borderId="1" xfId="0" applyNumberFormat="1" applyFont="1" applyBorder="1"/>
    <xf numFmtId="0" fontId="6" fillId="0" borderId="1" xfId="0" applyFont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9" fillId="0" borderId="1" xfId="0" applyFont="1" applyBorder="1" applyProtection="1"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5" xfId="0" applyFont="1" applyBorder="1" applyProtection="1">
      <protection locked="0"/>
    </xf>
    <xf numFmtId="0" fontId="6" fillId="0" borderId="0" xfId="0" applyFont="1" applyProtection="1">
      <protection locked="0"/>
    </xf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1" xfId="0" applyFont="1" applyBorder="1" applyAlignment="1" applyProtection="1">
      <alignment horizontal="center"/>
      <protection locked="0"/>
    </xf>
    <xf numFmtId="0" fontId="21" fillId="4" borderId="0" xfId="0" applyNumberFormat="1" applyFont="1" applyFill="1" applyBorder="1" applyAlignment="1">
      <alignment shrinkToFit="1"/>
    </xf>
    <xf numFmtId="0" fontId="22" fillId="4" borderId="0" xfId="2" applyNumberFormat="1" applyFont="1" applyFill="1" applyBorder="1">
      <alignment vertical="center"/>
    </xf>
    <xf numFmtId="0" fontId="8" fillId="4" borderId="0" xfId="0" applyNumberFormat="1" applyFont="1" applyFill="1" applyBorder="1" applyAlignment="1">
      <alignment shrinkToFit="1"/>
    </xf>
    <xf numFmtId="0" fontId="16" fillId="4" borderId="0" xfId="2" applyNumberFormat="1" applyFont="1" applyFill="1" applyBorder="1">
      <alignment vertical="center"/>
    </xf>
    <xf numFmtId="0" fontId="17" fillId="4" borderId="0" xfId="1" applyNumberFormat="1" applyFont="1" applyFill="1" applyBorder="1" applyAlignment="1">
      <alignment shrinkToFit="1"/>
    </xf>
    <xf numFmtId="0" fontId="18" fillId="4" borderId="0" xfId="1" applyNumberFormat="1" applyFont="1" applyFill="1" applyBorder="1" applyAlignment="1">
      <alignment vertical="center" wrapText="1" shrinkToFit="1"/>
    </xf>
    <xf numFmtId="0" fontId="12" fillId="5" borderId="0" xfId="0" applyNumberFormat="1" applyFont="1" applyFill="1" applyBorder="1" applyAlignment="1">
      <alignment shrinkToFit="1"/>
    </xf>
    <xf numFmtId="0" fontId="14" fillId="5" borderId="0" xfId="0" applyNumberFormat="1" applyFont="1" applyFill="1" applyBorder="1" applyAlignment="1">
      <alignment vertical="center" wrapText="1" shrinkToFit="1"/>
    </xf>
    <xf numFmtId="0" fontId="14" fillId="5" borderId="0" xfId="0" applyNumberFormat="1" applyFont="1" applyFill="1" applyBorder="1" applyAlignment="1">
      <alignment vertical="center" shrinkToFit="1"/>
    </xf>
    <xf numFmtId="0" fontId="14" fillId="5" borderId="0" xfId="0" applyNumberFormat="1" applyFont="1" applyFill="1" applyBorder="1" applyAlignment="1" applyProtection="1">
      <alignment shrinkToFit="1"/>
      <protection locked="0"/>
    </xf>
    <xf numFmtId="0" fontId="8" fillId="5" borderId="0" xfId="0" applyNumberFormat="1" applyFont="1" applyFill="1" applyBorder="1" applyAlignment="1">
      <alignment shrinkToFit="1"/>
    </xf>
    <xf numFmtId="0" fontId="11" fillId="5" borderId="0" xfId="2" applyNumberFormat="1" applyFont="1" applyFill="1" applyBorder="1">
      <alignment vertical="center"/>
    </xf>
    <xf numFmtId="0" fontId="10" fillId="5" borderId="0" xfId="2" applyNumberFormat="1" applyFont="1" applyFill="1" applyBorder="1">
      <alignment vertical="center"/>
    </xf>
    <xf numFmtId="0" fontId="11" fillId="5" borderId="0" xfId="0" applyNumberFormat="1" applyFont="1" applyFill="1" applyBorder="1" applyAlignment="1" applyProtection="1">
      <alignment vertical="center" shrinkToFit="1"/>
      <protection locked="0"/>
    </xf>
    <xf numFmtId="0" fontId="11" fillId="5" borderId="0" xfId="2" applyNumberFormat="1" applyFont="1" applyFill="1" applyBorder="1" applyAlignment="1">
      <alignment horizontal="center" vertical="center"/>
    </xf>
    <xf numFmtId="0" fontId="10" fillId="5" borderId="0" xfId="2" applyNumberFormat="1" applyFont="1" applyFill="1" applyBorder="1" applyAlignment="1">
      <alignment horizontal="center" vertical="center"/>
    </xf>
    <xf numFmtId="0" fontId="15" fillId="5" borderId="0" xfId="0" applyNumberFormat="1" applyFont="1" applyFill="1" applyBorder="1" applyAlignment="1" applyProtection="1">
      <alignment vertical="top" shrinkToFit="1"/>
      <protection locked="0"/>
    </xf>
    <xf numFmtId="0" fontId="15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0" xfId="0" applyNumberFormat="1" applyFont="1" applyFill="1" applyBorder="1" applyAlignment="1" applyProtection="1">
      <alignment horizontal="left" vertical="center" shrinkToFit="1"/>
      <protection locked="0"/>
    </xf>
    <xf numFmtId="0" fontId="12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5" borderId="0" xfId="3" applyNumberFormat="1" applyFont="1" applyFill="1" applyBorder="1" applyAlignment="1">
      <alignment vertical="center"/>
    </xf>
    <xf numFmtId="177" fontId="11" fillId="3" borderId="1" xfId="3" applyNumberFormat="1" applyFont="1" applyFill="1" applyBorder="1">
      <alignment vertical="center"/>
    </xf>
    <xf numFmtId="178" fontId="11" fillId="2" borderId="1" xfId="3" applyNumberFormat="1" applyFont="1" applyFill="1" applyBorder="1" applyAlignment="1">
      <alignment horizontal="center" vertical="center"/>
    </xf>
    <xf numFmtId="179" fontId="11" fillId="0" borderId="1" xfId="3" applyNumberFormat="1" applyFont="1" applyFill="1" applyBorder="1" applyAlignment="1">
      <alignment horizontal="right" vertical="center"/>
    </xf>
    <xf numFmtId="0" fontId="16" fillId="5" borderId="0" xfId="2" applyNumberFormat="1" applyFont="1" applyFill="1" applyBorder="1">
      <alignment vertical="center"/>
    </xf>
    <xf numFmtId="0" fontId="23" fillId="5" borderId="0" xfId="2" applyNumberFormat="1" applyFont="1" applyFill="1" applyBorder="1" applyAlignment="1">
      <alignment horizontal="right"/>
    </xf>
    <xf numFmtId="14" fontId="21" fillId="4" borderId="0" xfId="0" applyNumberFormat="1" applyFont="1" applyFill="1" applyBorder="1" applyAlignment="1">
      <alignment shrinkToFit="1"/>
    </xf>
    <xf numFmtId="180" fontId="14" fillId="5" borderId="0" xfId="0" applyNumberFormat="1" applyFont="1" applyFill="1" applyBorder="1" applyAlignment="1">
      <alignment horizontal="left" vertical="center" shrinkToFit="1"/>
    </xf>
    <xf numFmtId="0" fontId="19" fillId="0" borderId="1" xfId="0" applyNumberFormat="1" applyFont="1" applyBorder="1" applyAlignment="1">
      <alignment horizontal="center" vertical="center" shrinkToFit="1"/>
    </xf>
    <xf numFmtId="0" fontId="13" fillId="5" borderId="0" xfId="2" applyNumberFormat="1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5" borderId="0" xfId="0" applyNumberFormat="1" applyFont="1" applyFill="1" applyBorder="1" applyAlignment="1">
      <alignment vertical="top" shrinkToFit="1"/>
    </xf>
  </cellXfs>
  <cellStyles count="4">
    <cellStyle name="Excel Built-in Normal" xfId="1"/>
    <cellStyle name="桁区切り" xfId="3" builtinId="6"/>
    <cellStyle name="常规_发票（丰田6.20）" xfId="2"/>
    <cellStyle name="標準" xfId="0" builtinId="0"/>
  </cellStyles>
  <dxfs count="0"/>
  <tableStyles count="0" defaultTableStyle="TableStyleMedium2" defaultPivotStyle="PivotStyleMedium9"/>
  <colors>
    <mruColors>
      <color rgb="FF0000FF"/>
      <color rgb="FFFF66FF"/>
      <color rgb="FFFF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19050</xdr:colOff>
      <xdr:row>10</xdr:row>
      <xdr:rowOff>0</xdr:rowOff>
    </xdr:to>
    <xdr:pic>
      <xdr:nvPicPr>
        <xdr:cNvPr id="3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3517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</xdr:colOff>
      <xdr:row>10</xdr:row>
      <xdr:rowOff>0</xdr:rowOff>
    </xdr:to>
    <xdr:pic>
      <xdr:nvPicPr>
        <xdr:cNvPr id="4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3517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</xdr:colOff>
      <xdr:row>10</xdr:row>
      <xdr:rowOff>0</xdr:rowOff>
    </xdr:to>
    <xdr:pic>
      <xdr:nvPicPr>
        <xdr:cNvPr id="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3517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19050</xdr:colOff>
      <xdr:row>10</xdr:row>
      <xdr:rowOff>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23517225"/>
          <a:ext cx="19050" cy="19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ExchangeServlet?ScreenID=tento" refreshOnLoad="1" growShrinkType="overwriteClear" connectionId="1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40"/>
  <sheetViews>
    <sheetView tabSelected="1" zoomScaleNormal="100" zoomScaleSheetLayoutView="115" workbookViewId="0">
      <selection activeCell="C4" sqref="C4"/>
    </sheetView>
  </sheetViews>
  <sheetFormatPr defaultColWidth="5.5" defaultRowHeight="18" customHeight="1"/>
  <cols>
    <col min="1" max="1" width="6.375" style="35" customWidth="1"/>
    <col min="2" max="4" width="25.625" style="35" customWidth="1"/>
    <col min="5" max="39" width="5.5" style="33"/>
    <col min="40" max="16384" width="5.5" style="35"/>
  </cols>
  <sheetData>
    <row r="1" spans="1:39" ht="18" customHeight="1">
      <c r="A1" s="43"/>
      <c r="B1" s="43"/>
      <c r="C1" s="43"/>
      <c r="D1" s="43"/>
      <c r="R1" s="59"/>
    </row>
    <row r="2" spans="1:39" ht="24.95" customHeight="1">
      <c r="A2" s="61" t="s">
        <v>174</v>
      </c>
      <c r="B2" s="61"/>
      <c r="C2" s="61"/>
      <c r="D2" s="61"/>
    </row>
    <row r="3" spans="1:39" ht="24.95" customHeight="1">
      <c r="A3" s="43"/>
      <c r="B3" s="46"/>
      <c r="C3" s="39"/>
      <c r="D3" s="39"/>
    </row>
    <row r="4" spans="1:39" ht="24.95" customHeight="1">
      <c r="A4" s="43"/>
      <c r="B4" s="13" t="s">
        <v>78</v>
      </c>
      <c r="C4" s="10"/>
      <c r="D4" s="40" t="s">
        <v>170</v>
      </c>
    </row>
    <row r="5" spans="1:39" ht="24.95" customHeight="1">
      <c r="A5" s="43"/>
      <c r="B5" s="49"/>
      <c r="C5" s="50"/>
      <c r="D5" s="68"/>
    </row>
    <row r="6" spans="1:39" ht="24.95" customHeight="1">
      <c r="A6" s="43"/>
      <c r="B6" s="13" t="s">
        <v>0</v>
      </c>
      <c r="C6" s="14"/>
      <c r="D6" s="41" t="s">
        <v>169</v>
      </c>
    </row>
    <row r="7" spans="1:39" ht="24.95" customHeight="1">
      <c r="A7" s="43"/>
      <c r="B7" s="51"/>
      <c r="C7" s="52"/>
      <c r="D7" s="42"/>
    </row>
    <row r="8" spans="1:39" ht="24.95" customHeight="1">
      <c r="A8" s="43"/>
      <c r="B8" s="13" t="s">
        <v>176</v>
      </c>
      <c r="C8" s="55"/>
      <c r="D8" s="62" t="s">
        <v>172</v>
      </c>
    </row>
    <row r="9" spans="1:39" ht="24.95" customHeight="1">
      <c r="A9" s="43"/>
      <c r="B9" s="46"/>
      <c r="C9" s="43"/>
      <c r="D9" s="62"/>
    </row>
    <row r="10" spans="1:39" ht="24.95" customHeight="1">
      <c r="A10" s="46"/>
      <c r="B10" s="53"/>
      <c r="C10" s="39"/>
      <c r="D10" s="39"/>
    </row>
    <row r="11" spans="1:39" ht="24.95" customHeight="1">
      <c r="A11" s="43"/>
      <c r="B11" s="43"/>
      <c r="C11" s="43"/>
      <c r="D11" s="43"/>
    </row>
    <row r="12" spans="1:39" ht="24.95" customHeight="1">
      <c r="A12" s="43"/>
      <c r="B12" s="11" t="s">
        <v>171</v>
      </c>
      <c r="C12" s="56">
        <f>IF(ISNUMBER(SEARCH("pp",$C$4)),IF(重量計算!$C$6="米国FBA（格安便）",'格安送料(PP)'!$B$3,PP送料!$B$3),IF(重量計算!$C$6="米国FBA（格安便）",格安送料!$B$3,送料!$B$3))</f>
        <v>0</v>
      </c>
      <c r="D12" s="43"/>
    </row>
    <row r="13" spans="1:39" ht="24.95" customHeight="1">
      <c r="A13" s="43"/>
      <c r="B13" s="11" t="s">
        <v>178</v>
      </c>
      <c r="C13" s="56">
        <f>IF(OR($C$6="米国FBA",$C$6="米国FBA（格安便）",$C$6="カナダFBA"),C12*0.1,0)</f>
        <v>0</v>
      </c>
      <c r="D13" s="43"/>
    </row>
    <row r="14" spans="1:39" ht="24.95" customHeight="1">
      <c r="A14" s="43"/>
      <c r="B14" s="11" t="s">
        <v>177</v>
      </c>
      <c r="C14" s="12">
        <f>為替レート!$C$35+1</f>
        <v>18.45</v>
      </c>
      <c r="D14" s="60">
        <f ca="1">TODAY()</f>
        <v>43144</v>
      </c>
    </row>
    <row r="15" spans="1:39" ht="24.95" customHeight="1">
      <c r="A15" s="43"/>
      <c r="B15" s="9" t="s">
        <v>173</v>
      </c>
      <c r="C15" s="54">
        <f>SUM(C12:C13)*C14</f>
        <v>0</v>
      </c>
      <c r="D15" s="43"/>
    </row>
    <row r="16" spans="1:39" s="36" customFormat="1" ht="24.95" customHeight="1">
      <c r="A16" s="47"/>
      <c r="B16" s="44"/>
      <c r="C16" s="58" t="s">
        <v>175</v>
      </c>
      <c r="D16" s="4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</row>
    <row r="17" spans="1:39" s="36" customFormat="1" ht="24.95" customHeight="1">
      <c r="A17" s="48"/>
      <c r="B17" s="57"/>
      <c r="C17" s="45"/>
      <c r="D17" s="45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</row>
    <row r="18" spans="1:39" s="36" customFormat="1" ht="27" customHeight="1">
      <c r="A18" s="48"/>
      <c r="B18" s="45"/>
      <c r="C18" s="45"/>
      <c r="D18" s="45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</row>
    <row r="19" spans="1:39" s="36" customFormat="1" ht="37.5" customHeight="1"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</row>
    <row r="20" spans="1:39" s="36" customFormat="1" ht="27.95" customHeight="1">
      <c r="A20" s="37"/>
      <c r="B20" s="38"/>
      <c r="C20" s="38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</row>
    <row r="21" spans="1:39" s="36" customFormat="1" ht="27.95" customHeight="1">
      <c r="A21" s="37"/>
      <c r="B21" s="38"/>
      <c r="C21" s="38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</row>
    <row r="22" spans="1:39" s="36" customFormat="1" ht="27.95" customHeight="1">
      <c r="A22" s="35"/>
      <c r="B22" s="35"/>
      <c r="C22" s="35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</row>
    <row r="23" spans="1:39" s="36" customFormat="1" ht="27.95" customHeight="1">
      <c r="A23" s="35"/>
      <c r="B23" s="35"/>
      <c r="C23" s="35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</row>
    <row r="24" spans="1:39" s="36" customFormat="1" ht="27.95" customHeight="1">
      <c r="A24" s="35"/>
      <c r="B24" s="35"/>
      <c r="C24" s="35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</row>
    <row r="25" spans="1:39" s="36" customFormat="1" ht="27.95" customHeight="1">
      <c r="A25" s="35"/>
      <c r="B25" s="35"/>
      <c r="C25" s="35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</row>
    <row r="26" spans="1:39" s="36" customFormat="1" ht="27.95" customHeight="1">
      <c r="A26" s="35"/>
      <c r="B26" s="35"/>
      <c r="C26" s="35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</row>
    <row r="27" spans="1:39" s="36" customFormat="1" ht="27.95" customHeight="1">
      <c r="A27" s="35"/>
      <c r="B27" s="35"/>
      <c r="C27" s="35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</row>
    <row r="28" spans="1:39" ht="30" customHeight="1"/>
    <row r="29" spans="1:39" ht="30" customHeight="1"/>
    <row r="30" spans="1:39" ht="30" customHeight="1"/>
    <row r="31" spans="1:39" ht="30" customHeight="1"/>
    <row r="32" spans="1:39" ht="30" customHeight="1"/>
    <row r="33" ht="30" customHeight="1"/>
    <row r="34" ht="30" customHeight="1"/>
    <row r="35" ht="30" customHeight="1"/>
    <row r="36" ht="30" customHeight="1"/>
    <row r="37" ht="30" customHeight="1"/>
    <row r="38" ht="30" customHeight="1"/>
    <row r="39" ht="30" customHeight="1"/>
    <row r="40" ht="30" customHeight="1"/>
  </sheetData>
  <sheetProtection formatCells="0" formatRows="0" insertRows="0" insertHyperlinks="0" deleteRows="0" sort="0" autoFilter="0"/>
  <protectedRanges>
    <protectedRange password="C1AA" sqref="D40:D50 C12:C13 B10 D8 C8 C17:C42 A16:A42 B15:C16 B18:B42" name="範囲2"/>
  </protectedRanges>
  <dataConsolidate/>
  <mergeCells count="2">
    <mergeCell ref="A2:D2"/>
    <mergeCell ref="D8:D9"/>
  </mergeCells>
  <phoneticPr fontId="2"/>
  <dataValidations count="2">
    <dataValidation type="list" allowBlank="1" showInputMessage="1" showErrorMessage="1" error="お名前を英語表記でご記入ください。" sqref="C4">
      <formula1>"SAKURA会員, PP会員"</formula1>
    </dataValidation>
    <dataValidation type="list" allowBlank="1" showInputMessage="1" showErrorMessage="1" sqref="C6">
      <formula1>"自宅,別送,日本FBA,米国FBA,米国FBA（格安便）,カナダFBA"</formula1>
    </dataValidation>
  </dataValidations>
  <pageMargins left="0.70866141732283461" right="0.70866141732283461" top="0.74803149606299213" bottom="0.74803149606299213" header="0.31496062992125984" footer="0.31496062992125984"/>
  <pageSetup paperSize="9" fitToHeight="0" orientation="portrait" horizontalDpi="4294967293" r:id="rId1"/>
  <ignoredErrors>
    <ignoredError sqref="C14" unlockedFormula="1"/>
  </ignoredErrors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5" sqref="B5:B9"/>
    </sheetView>
  </sheetViews>
  <sheetFormatPr defaultRowHeight="13.5"/>
  <cols>
    <col min="1" max="1" width="26.5" bestFit="1" customWidth="1"/>
    <col min="2" max="2" width="34" bestFit="1" customWidth="1"/>
  </cols>
  <sheetData>
    <row r="1" spans="1:2">
      <c r="A1" t="s">
        <v>4</v>
      </c>
    </row>
    <row r="2" spans="1:2">
      <c r="A2" t="s">
        <v>1</v>
      </c>
      <c r="B2" t="s">
        <v>5</v>
      </c>
    </row>
    <row r="3" spans="1:2">
      <c r="A3" t="s">
        <v>6</v>
      </c>
    </row>
    <row r="4" spans="1:2">
      <c r="A4" t="s">
        <v>7</v>
      </c>
      <c r="B4" t="s">
        <v>8</v>
      </c>
    </row>
    <row r="5" spans="1:2">
      <c r="A5" t="s">
        <v>2</v>
      </c>
      <c r="B5" s="1">
        <v>3</v>
      </c>
    </row>
    <row r="6" spans="1:2">
      <c r="A6" t="s">
        <v>10</v>
      </c>
      <c r="B6" s="1">
        <v>4</v>
      </c>
    </row>
    <row r="7" spans="1:2">
      <c r="A7" t="s">
        <v>11</v>
      </c>
      <c r="B7" s="1">
        <v>3</v>
      </c>
    </row>
    <row r="8" spans="1:2">
      <c r="A8" t="s">
        <v>12</v>
      </c>
      <c r="B8" s="1">
        <v>2</v>
      </c>
    </row>
    <row r="9" spans="1:2">
      <c r="A9" t="s">
        <v>13</v>
      </c>
      <c r="B9" s="1">
        <v>4</v>
      </c>
    </row>
    <row r="10" spans="1:2">
      <c r="A10" t="s">
        <v>14</v>
      </c>
      <c r="B10" t="s">
        <v>15</v>
      </c>
    </row>
    <row r="11" spans="1:2">
      <c r="B11" t="s">
        <v>16</v>
      </c>
    </row>
    <row r="12" spans="1:2">
      <c r="A12" t="s">
        <v>17</v>
      </c>
      <c r="B12" t="s">
        <v>18</v>
      </c>
    </row>
    <row r="13" spans="1:2">
      <c r="A13" t="s">
        <v>19</v>
      </c>
      <c r="B13" t="s">
        <v>9</v>
      </c>
    </row>
    <row r="14" spans="1:2">
      <c r="B14" t="s">
        <v>20</v>
      </c>
    </row>
    <row r="15" spans="1:2">
      <c r="A15" t="s">
        <v>21</v>
      </c>
      <c r="B15" t="s">
        <v>22</v>
      </c>
    </row>
    <row r="16" spans="1:2">
      <c r="A16" t="s">
        <v>23</v>
      </c>
      <c r="B16" t="s">
        <v>24</v>
      </c>
    </row>
    <row r="17" spans="1:2">
      <c r="A17" t="s">
        <v>25</v>
      </c>
      <c r="B17" t="s">
        <v>18</v>
      </c>
    </row>
    <row r="18" spans="1:2">
      <c r="A18" t="s">
        <v>26</v>
      </c>
      <c r="B18" t="s">
        <v>27</v>
      </c>
    </row>
    <row r="19" spans="1:2">
      <c r="B19" t="s">
        <v>20</v>
      </c>
    </row>
    <row r="20" spans="1:2">
      <c r="A20" t="s">
        <v>28</v>
      </c>
      <c r="B20" t="s">
        <v>29</v>
      </c>
    </row>
    <row r="21" spans="1:2">
      <c r="B21" t="s">
        <v>3</v>
      </c>
    </row>
    <row r="22" spans="1:2">
      <c r="A22" t="s">
        <v>30</v>
      </c>
    </row>
  </sheetData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7"/>
  <sheetViews>
    <sheetView workbookViewId="0"/>
  </sheetViews>
  <sheetFormatPr defaultRowHeight="13.5"/>
  <cols>
    <col min="1" max="1" width="10.75" bestFit="1" customWidth="1"/>
    <col min="4" max="4" width="11.75" bestFit="1" customWidth="1"/>
    <col min="5" max="5" width="15.25" customWidth="1"/>
    <col min="6" max="6" width="12.125" bestFit="1" customWidth="1"/>
  </cols>
  <sheetData>
    <row r="2" spans="1:6" ht="17.25">
      <c r="A2" s="4" t="s">
        <v>151</v>
      </c>
      <c r="B2" s="4" t="s">
        <v>39</v>
      </c>
      <c r="D2" s="63" t="s">
        <v>40</v>
      </c>
      <c r="E2" s="63"/>
      <c r="F2" s="63"/>
    </row>
    <row r="3" spans="1:6" ht="17.25">
      <c r="A3" s="3">
        <f>重量計算!C8</f>
        <v>0</v>
      </c>
      <c r="B3" s="5">
        <f>IF(COUNTIF($F$4:$F$17,"&gt;0")=1,SUM($F$4:$F$17),0)</f>
        <v>0</v>
      </c>
      <c r="D3" s="7" t="s">
        <v>74</v>
      </c>
      <c r="E3" s="7" t="s">
        <v>72</v>
      </c>
      <c r="F3" s="6" t="s">
        <v>152</v>
      </c>
    </row>
    <row r="4" spans="1:6" ht="27.75" customHeight="1">
      <c r="D4" s="15" t="s">
        <v>42</v>
      </c>
      <c r="E4" s="17" t="s">
        <v>73</v>
      </c>
      <c r="F4" s="15">
        <f>IF(AND($A$3&lt;11,$A$3&lt;&gt;0,OR(重量計算!$C$6="自宅",重量計算!$C$6="日本FBA",重量計算!$C$6="別送")),(((送料!$A$3-0.5)/0.5)*28)+95,0)</f>
        <v>0</v>
      </c>
    </row>
    <row r="5" spans="1:6">
      <c r="D5" s="18" t="s">
        <v>43</v>
      </c>
      <c r="E5" s="15" t="s">
        <v>53</v>
      </c>
      <c r="F5" s="15">
        <f>IF(AND($A$3&gt;=11,$A$3&lt;21,OR(重量計算!$C$6="自宅",重量計算!$C$6="日本FBA",重量計算!$C$6="別送")),(送料!$A$3*35),0)</f>
        <v>0</v>
      </c>
    </row>
    <row r="6" spans="1:6">
      <c r="D6" s="15" t="s">
        <v>44</v>
      </c>
      <c r="E6" s="15" t="s">
        <v>52</v>
      </c>
      <c r="F6" s="15">
        <f>IF(AND($A$3&gt;=21,$A$3&lt;51,OR(重量計算!$C$6="自宅",重量計算!$C$6="日本FBA",重量計算!$C$6="別送")),(送料!$A$3*30),0)</f>
        <v>0</v>
      </c>
    </row>
    <row r="7" spans="1:6">
      <c r="D7" s="15" t="s">
        <v>45</v>
      </c>
      <c r="E7" s="15" t="s">
        <v>51</v>
      </c>
      <c r="F7" s="15">
        <f>IF(AND($A$3&gt;=51,$A$3&lt;101,OR(重量計算!$C$6="自宅",重量計算!$C$6="日本FBA",重量計算!$C$6="別送")),(送料!$A$3*29),0)</f>
        <v>0</v>
      </c>
    </row>
    <row r="8" spans="1:6">
      <c r="D8" s="15" t="s">
        <v>46</v>
      </c>
      <c r="E8" s="15" t="s">
        <v>41</v>
      </c>
      <c r="F8" s="15">
        <f>IF(AND($A$3&gt;=101,$A$3&lt;201,OR(重量計算!$C$6="自宅",重量計算!$C$6="日本FBA",重量計算!$C$6="別送")),(送料!$A$3*28),0)</f>
        <v>0</v>
      </c>
    </row>
    <row r="9" spans="1:6">
      <c r="D9" s="15" t="s">
        <v>76</v>
      </c>
      <c r="E9" s="15"/>
      <c r="F9" s="15">
        <f>IF(AND($A$3&gt;=201,OR(重量計算!$C$6="自宅",重量計算!$C$6="日本FBA",重量計算!$C$6="別送")),(送料!$A$3*27),0)</f>
        <v>0</v>
      </c>
    </row>
    <row r="10" spans="1:6">
      <c r="D10" s="2"/>
      <c r="E10" s="2"/>
    </row>
    <row r="11" spans="1:6" ht="17.25">
      <c r="D11" s="63" t="s">
        <v>165</v>
      </c>
      <c r="E11" s="63"/>
      <c r="F11" s="63"/>
    </row>
    <row r="12" spans="1:6" ht="17.25">
      <c r="D12" s="7" t="s">
        <v>74</v>
      </c>
      <c r="E12" s="7" t="s">
        <v>72</v>
      </c>
      <c r="F12" s="6" t="s">
        <v>152</v>
      </c>
    </row>
    <row r="13" spans="1:6">
      <c r="D13" s="15" t="s">
        <v>47</v>
      </c>
      <c r="E13" s="15" t="s">
        <v>48</v>
      </c>
      <c r="F13" s="16">
        <f>IF(AND($A$3&lt;22,$A$3&lt;&gt;0,OR(重量計算!$C$6="米国FBA",重量計算!$C$6="カナダFBA",重量計算!$C$6="米国FBA（格安便）")),1000,0)</f>
        <v>0</v>
      </c>
    </row>
    <row r="14" spans="1:6">
      <c r="D14" s="15" t="s">
        <v>49</v>
      </c>
      <c r="E14" s="15" t="s">
        <v>50</v>
      </c>
      <c r="F14" s="15">
        <f>IF(AND($A$3&gt;=22,$A$3&lt;31,OR(重量計算!$C$6="米国FBA",重量計算!$C$6="カナダFBA",重量計算!$C$6="米国FBA（格安便）")),(送料!$A$3*48),0)</f>
        <v>0</v>
      </c>
    </row>
    <row r="15" spans="1:6">
      <c r="D15" s="15" t="s">
        <v>54</v>
      </c>
      <c r="E15" s="15" t="s">
        <v>55</v>
      </c>
      <c r="F15" s="15">
        <f>IF(AND($A$3&gt;=31,$A$3&lt;51,OR(重量計算!$C$6="米国FBA",重量計算!$C$6="カナダFBA",重量計算!$C$6="米国FBA（格安便）")),(送料!$A$3*44),0)</f>
        <v>0</v>
      </c>
    </row>
    <row r="16" spans="1:6">
      <c r="D16" s="15" t="s">
        <v>56</v>
      </c>
      <c r="E16" s="15" t="s">
        <v>57</v>
      </c>
      <c r="F16" s="15">
        <f>IF(AND($A$3&gt;=51,$A$3&lt;71,OR(重量計算!$C$6="米国FBA",重量計算!$C$6="カナダFBA",重量計算!$C$6="米国FBA（格安便）")),(送料!$A$3*41),0)</f>
        <v>0</v>
      </c>
    </row>
    <row r="17" spans="4:6">
      <c r="D17" s="15" t="s">
        <v>77</v>
      </c>
      <c r="E17" s="15"/>
      <c r="F17" s="15">
        <f>IF(AND($A$3&gt;=71,OR(重量計算!$C$6="米国FBA",重量計算!$C$6="カナダFBA",重量計算!$C$6="米国FBA（格安便）")),(送料!$A$3*38),0)</f>
        <v>0</v>
      </c>
    </row>
  </sheetData>
  <sheetProtection algorithmName="SHA-512" hashValue="/1YSeLNIRu5pV/SxStkRieLXKB/t39opRY/PkiZgqNHmTotEIrc9aeJb41pgczUgi9TtLaJM9fG4PBPHPx8+KQ==" saltValue="u91qrAcdpNzG5L1tdpVt/g==" spinCount="100000" sheet="1" objects="1" scenarios="1" selectLockedCells="1" selectUnlockedCells="1"/>
  <mergeCells count="2">
    <mergeCell ref="D2:F2"/>
    <mergeCell ref="D11:F11"/>
  </mergeCells>
  <phoneticPr fontId="1"/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6"/>
  <sheetViews>
    <sheetView workbookViewId="0">
      <selection activeCell="D34" sqref="D34"/>
    </sheetView>
  </sheetViews>
  <sheetFormatPr defaultRowHeight="13.5"/>
  <cols>
    <col min="1" max="1" width="10.75" style="20" bestFit="1" customWidth="1"/>
    <col min="2" max="3" width="9" style="20"/>
    <col min="4" max="4" width="11.75" style="20" bestFit="1" customWidth="1"/>
    <col min="5" max="5" width="15.25" style="20" customWidth="1"/>
    <col min="6" max="6" width="12.125" style="20" bestFit="1" customWidth="1"/>
    <col min="7" max="16384" width="9" style="20"/>
  </cols>
  <sheetData>
    <row r="2" spans="1:6" ht="17.25">
      <c r="A2" s="19" t="s">
        <v>151</v>
      </c>
      <c r="B2" s="19" t="s">
        <v>39</v>
      </c>
      <c r="D2" s="64" t="s">
        <v>40</v>
      </c>
      <c r="E2" s="64"/>
      <c r="F2" s="64"/>
    </row>
    <row r="3" spans="1:6" ht="17.25">
      <c r="A3" s="21">
        <f>重量計算!C8</f>
        <v>0</v>
      </c>
      <c r="B3" s="22">
        <f>IF(COUNTIF($F$4:$F$16,"&gt;0")=1,SUM($F$4:$F$16),0)</f>
        <v>0</v>
      </c>
      <c r="D3" s="23" t="s">
        <v>74</v>
      </c>
      <c r="E3" s="24" t="s">
        <v>72</v>
      </c>
      <c r="F3" s="25" t="s">
        <v>152</v>
      </c>
    </row>
    <row r="4" spans="1:6" ht="27.75" customHeight="1">
      <c r="D4" s="26" t="s">
        <v>58</v>
      </c>
      <c r="E4" s="27" t="s">
        <v>75</v>
      </c>
      <c r="F4" s="28">
        <f>IF(AND($A$3&lt;21,$A$3&lt;&gt;0,OR(重量計算!$C$6="自宅",重量計算!$C$6="日本FBA",重量計算!$C$6="別送")),(((送料!$A$3-0.5)/0.5)*16.5)+78,0)</f>
        <v>0</v>
      </c>
    </row>
    <row r="5" spans="1:6">
      <c r="D5" s="26" t="s">
        <v>59</v>
      </c>
      <c r="E5" s="26" t="s">
        <v>60</v>
      </c>
      <c r="F5" s="26">
        <f>IF(AND($A$3&gt;=21,$A$3&lt;51,OR(重量計算!$C$6="自宅",重量計算!$C$6="日本FBA",重量計算!$C$6="別送")),(送料!$A$3*18),0)</f>
        <v>0</v>
      </c>
    </row>
    <row r="6" spans="1:6">
      <c r="D6" s="26" t="s">
        <v>61</v>
      </c>
      <c r="E6" s="26" t="s">
        <v>62</v>
      </c>
      <c r="F6" s="26">
        <f>IF(AND($A$3&gt;=51,$A$3&lt;101,OR(重量計算!$C$6="自宅",重量計算!$C$6="日本FBA",重量計算!$C$6="別送")),(送料!$A$3*17),0)</f>
        <v>0</v>
      </c>
    </row>
    <row r="7" spans="1:6">
      <c r="D7" s="26" t="s">
        <v>63</v>
      </c>
      <c r="E7" s="26" t="s">
        <v>64</v>
      </c>
      <c r="F7" s="26">
        <f>IF(AND($A$3&gt;=101,$A$3&lt;201,OR(重量計算!$C$6="自宅",重量計算!$C$6="日本FBA",重量計算!$C$6="別送")),(送料!$A$3*16),0)</f>
        <v>0</v>
      </c>
    </row>
    <row r="8" spans="1:6">
      <c r="D8" s="26" t="s">
        <v>76</v>
      </c>
      <c r="E8" s="26" t="s">
        <v>65</v>
      </c>
      <c r="F8" s="26">
        <f>IF(AND($A$3&gt;=201,OR(重量計算!$C$6="自宅",重量計算!$C$6="日本FBA",重量計算!$C$6="別送")),(送料!$A$3*15),0)</f>
        <v>0</v>
      </c>
    </row>
    <row r="9" spans="1:6">
      <c r="D9" s="29"/>
      <c r="E9" s="29"/>
    </row>
    <row r="10" spans="1:6" ht="17.25">
      <c r="D10" s="64" t="s">
        <v>165</v>
      </c>
      <c r="E10" s="64"/>
      <c r="F10" s="64"/>
    </row>
    <row r="11" spans="1:6" ht="17.25">
      <c r="D11" s="30" t="s">
        <v>74</v>
      </c>
      <c r="E11" s="31" t="s">
        <v>72</v>
      </c>
      <c r="F11" s="32" t="s">
        <v>152</v>
      </c>
    </row>
    <row r="12" spans="1:6">
      <c r="D12" s="26" t="s">
        <v>47</v>
      </c>
      <c r="E12" s="26" t="s">
        <v>66</v>
      </c>
      <c r="F12" s="26">
        <f>IF(AND($A$3&lt;22,$A$3&lt;&gt;0,OR(重量計算!$C$6="米国FBA",重量計算!$C$6="カナダFBA",重量計算!$C$6="米国FBA（格安便）")),950,0)</f>
        <v>0</v>
      </c>
    </row>
    <row r="13" spans="1:6">
      <c r="D13" s="26" t="s">
        <v>49</v>
      </c>
      <c r="E13" s="26" t="s">
        <v>67</v>
      </c>
      <c r="F13" s="26">
        <f>IF(AND($A$3&gt;=22,$A$3&lt;31,OR(重量計算!$C$6="米国FBA",重量計算!$C$6="カナダFBA",重量計算!$C$6="米国FBA（格安便）")),(送料!$A$3*39),0)</f>
        <v>0</v>
      </c>
    </row>
    <row r="14" spans="1:6">
      <c r="D14" s="26" t="s">
        <v>54</v>
      </c>
      <c r="E14" s="26" t="s">
        <v>68</v>
      </c>
      <c r="F14" s="26">
        <f>IF(AND($A$3&gt;=31,$A$3&lt;51,OR(重量計算!$C$6="米国FBA",重量計算!$C$6="カナダFBA",重量計算!$C$6="米国FBA（格安便）")),(送料!$A$3*38),0)</f>
        <v>0</v>
      </c>
    </row>
    <row r="15" spans="1:6">
      <c r="D15" s="26" t="s">
        <v>69</v>
      </c>
      <c r="E15" s="26" t="s">
        <v>70</v>
      </c>
      <c r="F15" s="26">
        <f>IF(AND($A$3&gt;=51,$A$3&lt;201,OR(重量計算!$C$6="米国FBA",重量計算!$C$6="カナダFBA",重量計算!$C$6="米国FBA（格安便）")),(送料!$A$3*37),0)</f>
        <v>0</v>
      </c>
    </row>
    <row r="16" spans="1:6">
      <c r="D16" s="26" t="s">
        <v>160</v>
      </c>
      <c r="E16" s="26" t="s">
        <v>71</v>
      </c>
      <c r="F16" s="26">
        <f>IF(AND($A$3&gt;=201,OR(重量計算!$C$6="米国FBA",重量計算!$C$6="カナダFBA",重量計算!$C$6="米国FBA（格安便）")),(送料!$A$3*36),0)</f>
        <v>0</v>
      </c>
    </row>
  </sheetData>
  <sheetProtection algorithmName="SHA-512" hashValue="hcrxZ5R+tn7wciWoYaluZVBWQsHhFP9vXgtiaBa5pMt1uwsWIaPRIjGKUrQpEtrHn1HMh/mUcFdE93ux47IYJw==" saltValue="/jXm8LluNEL/5g0Q0/oE6Q==" spinCount="100000" sheet="1" objects="1" scenarios="1" selectLockedCells="1" selectUnlockedCells="1"/>
  <mergeCells count="2">
    <mergeCell ref="D2:F2"/>
    <mergeCell ref="D10:F10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workbookViewId="0"/>
  </sheetViews>
  <sheetFormatPr defaultRowHeight="13.5"/>
  <cols>
    <col min="1" max="1" width="10.75" bestFit="1" customWidth="1"/>
    <col min="4" max="4" width="12.625" customWidth="1"/>
    <col min="5" max="5" width="17.25" customWidth="1"/>
    <col min="6" max="6" width="12.125" bestFit="1" customWidth="1"/>
  </cols>
  <sheetData>
    <row r="1" spans="1:6">
      <c r="D1" s="2"/>
      <c r="E1" s="2"/>
    </row>
    <row r="2" spans="1:6" ht="17.25">
      <c r="A2" s="4" t="s">
        <v>151</v>
      </c>
      <c r="B2" s="4" t="s">
        <v>39</v>
      </c>
      <c r="D2" s="65" t="s">
        <v>165</v>
      </c>
      <c r="E2" s="66"/>
      <c r="F2" s="67"/>
    </row>
    <row r="3" spans="1:6" ht="17.25">
      <c r="A3" s="3">
        <f>重量計算!C8</f>
        <v>0</v>
      </c>
      <c r="B3" s="5">
        <f>IF(COUNTIF($F$4:$F$9,"&gt;0")=1,SUM($F$4:$F$9),0)</f>
        <v>0</v>
      </c>
      <c r="D3" s="7" t="s">
        <v>74</v>
      </c>
      <c r="E3" s="7" t="s">
        <v>72</v>
      </c>
      <c r="F3" s="6" t="s">
        <v>152</v>
      </c>
    </row>
    <row r="4" spans="1:6">
      <c r="D4" s="15" t="s">
        <v>166</v>
      </c>
      <c r="E4" s="15" t="s">
        <v>154</v>
      </c>
      <c r="F4" s="16">
        <f>IF(AND($A$3&gt;=30,$A$3&lt;71,OR(重量計算!$C$6="米国FBA",重量計算!$C$6="カナダFBA",重量計算!$C$6="米国FBA（格安便）")),$A$3*32,0)</f>
        <v>0</v>
      </c>
    </row>
    <row r="5" spans="1:6">
      <c r="D5" s="15" t="s">
        <v>157</v>
      </c>
      <c r="E5" s="15" t="s">
        <v>155</v>
      </c>
      <c r="F5" s="15">
        <f>IF(AND($A$3&gt;=71,$A$3&lt;151,OR(重量計算!$C$6="米国FBA",重量計算!$C$6="カナダFBA",重量計算!$C$6="米国FBA（格安便）")),(送料!$A$3*31),0)</f>
        <v>0</v>
      </c>
    </row>
    <row r="6" spans="1:6">
      <c r="D6" s="15" t="s">
        <v>167</v>
      </c>
      <c r="E6" s="15" t="s">
        <v>52</v>
      </c>
      <c r="F6" s="15">
        <f>IF(AND($A$3&gt;=151,$A$3&lt;301,OR(重量計算!$C$6="米国FBA",重量計算!$C$6="カナダFBA",重量計算!$C$6="米国FBA（格安便）")),(送料!$A$3*30),0)</f>
        <v>0</v>
      </c>
    </row>
    <row r="7" spans="1:6">
      <c r="D7" s="15" t="s">
        <v>159</v>
      </c>
      <c r="E7" s="15" t="s">
        <v>51</v>
      </c>
      <c r="F7" s="15">
        <f>IF(AND($A$3&gt;=301,$A$3&lt;501,OR(重量計算!$C$6="米国FBA",重量計算!$C$6="カナダFBA",重量計算!$C$6="米国FBA（格安便）")),(送料!$A$3*29),0)</f>
        <v>0</v>
      </c>
    </row>
    <row r="8" spans="1:6">
      <c r="D8" s="15" t="s">
        <v>162</v>
      </c>
      <c r="E8" s="15" t="s">
        <v>41</v>
      </c>
      <c r="F8" s="15">
        <f>IF(AND($A$3&gt;=501,$A$3&lt;1001,OR(重量計算!$C$6="米国FBA",重量計算!$C$6="カナダFBA",重量計算!$C$6="米国FBA（格安便）")),(送料!$A$3*28),0)</f>
        <v>0</v>
      </c>
    </row>
    <row r="9" spans="1:6">
      <c r="D9" s="15" t="s">
        <v>168</v>
      </c>
      <c r="E9" s="15" t="s">
        <v>156</v>
      </c>
      <c r="F9" s="15">
        <f>IF(AND($A$3&gt;=1001,OR(重量計算!$C$6="米国FBA",重量計算!$C$6="カナダFBA",重量計算!$C$6="米国FBA（格安便）")),(送料!$A$3*27),0)</f>
        <v>0</v>
      </c>
    </row>
  </sheetData>
  <sheetProtection algorithmName="SHA-512" hashValue="rm50vABuVi+FYPpYLCd9/zILKd6uVW0S799d5X/i6SZWophlnNqLEU9B2Paib57XepjkND7lJqxUIUiVlLE1nA==" saltValue="4gCEeNRWLE5ZQ9aeh1+Erg==" spinCount="100000" sheet="1" objects="1" scenarios="1" selectLockedCells="1" selectUnlockedCells="1"/>
  <mergeCells count="1">
    <mergeCell ref="D2:F2"/>
  </mergeCells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/>
  </sheetViews>
  <sheetFormatPr defaultRowHeight="13.5"/>
  <cols>
    <col min="1" max="1" width="10.75" bestFit="1" customWidth="1"/>
    <col min="4" max="4" width="12.625" customWidth="1"/>
    <col min="5" max="5" width="17.25" customWidth="1"/>
    <col min="6" max="6" width="12.125" bestFit="1" customWidth="1"/>
  </cols>
  <sheetData>
    <row r="2" spans="1:6" ht="17.25">
      <c r="A2" s="4" t="s">
        <v>151</v>
      </c>
      <c r="B2" s="4" t="s">
        <v>39</v>
      </c>
      <c r="D2" s="65" t="s">
        <v>165</v>
      </c>
      <c r="E2" s="66"/>
      <c r="F2" s="67"/>
    </row>
    <row r="3" spans="1:6" ht="17.25">
      <c r="A3" s="3">
        <f>重量計算!C8</f>
        <v>0</v>
      </c>
      <c r="B3" s="5">
        <f>IF(COUNTIF($F$4:$F$9,"&gt;0")=1,SUM($F$4:$F$9),0)</f>
        <v>0</v>
      </c>
      <c r="D3" s="7" t="s">
        <v>74</v>
      </c>
      <c r="E3" s="8" t="s">
        <v>72</v>
      </c>
      <c r="F3" s="6" t="s">
        <v>152</v>
      </c>
    </row>
    <row r="4" spans="1:6">
      <c r="D4" s="15" t="s">
        <v>153</v>
      </c>
      <c r="E4" s="15" t="s">
        <v>52</v>
      </c>
      <c r="F4" s="16">
        <f>IF(AND($A$3&gt;=30,$A$3&lt;71,OR(重量計算!$C$6="米国FBA",重量計算!$C$6="カナダFBA",重量計算!$C$6="米国FBA（格安便）")),$A$3*30,0)</f>
        <v>0</v>
      </c>
    </row>
    <row r="5" spans="1:6">
      <c r="D5" s="15" t="s">
        <v>157</v>
      </c>
      <c r="E5" s="15" t="s">
        <v>51</v>
      </c>
      <c r="F5" s="15">
        <f>IF(AND($A$3&gt;=71,$A$3&lt;151,OR(重量計算!$C$6="米国FBA",重量計算!$C$6="カナダFBA",重量計算!$C$6="米国FBA（格安便）")),(送料!$A$3*29),0)</f>
        <v>0</v>
      </c>
    </row>
    <row r="6" spans="1:6">
      <c r="D6" s="15" t="s">
        <v>158</v>
      </c>
      <c r="E6" s="15" t="s">
        <v>41</v>
      </c>
      <c r="F6" s="15">
        <f>IF(AND($A$3&gt;=151,$A$3&lt;301,OR(重量計算!$C$6="米国FBA",重量計算!$C$6="カナダFBA",重量計算!$C$6="米国FBA（格安便）")),(送料!$A$3*28),0)</f>
        <v>0</v>
      </c>
    </row>
    <row r="7" spans="1:6">
      <c r="D7" s="15" t="s">
        <v>159</v>
      </c>
      <c r="E7" s="15" t="s">
        <v>156</v>
      </c>
      <c r="F7" s="15">
        <f>IF(AND($A$3&gt;=301,$A$3&lt;501,OR(重量計算!$C$6="米国FBA",重量計算!$C$6="カナダFBA",重量計算!$C$6="米国FBA（格安便）")),(送料!$A$3*27),0)</f>
        <v>0</v>
      </c>
    </row>
    <row r="8" spans="1:6">
      <c r="D8" s="15" t="s">
        <v>162</v>
      </c>
      <c r="E8" s="15" t="s">
        <v>163</v>
      </c>
      <c r="F8" s="15">
        <f>IF(AND($A$3&gt;=501,$A$3&lt;1001,OR(重量計算!$C$6="米国FBA",重量計算!$C$6="カナダFBA",重量計算!$C$6="米国FBA（格安便）")),(送料!$A$3*26),0)</f>
        <v>0</v>
      </c>
    </row>
    <row r="9" spans="1:6">
      <c r="D9" s="15" t="s">
        <v>161</v>
      </c>
      <c r="E9" s="15" t="s">
        <v>164</v>
      </c>
      <c r="F9" s="15">
        <f>IF(AND($A$3&gt;=1001,OR(重量計算!$C$6="米国FBA",重量計算!$C$6="カナダFBA",重量計算!$C$6="米国FBA（格安便）")),(送料!$A$3*25),0)</f>
        <v>0</v>
      </c>
    </row>
  </sheetData>
  <sheetProtection algorithmName="SHA-512" hashValue="V/BXCziSp25qZV7Ctx6ahPdxsFV4urV9a/EJU4Nl9mx6xG9y/WcFCnXn5HMyCtagHgQTeWiD3lDfRywmT1OfUA==" saltValue="tNPr5jyi3sLVHS2QBUlNlw==" spinCount="100000" sheet="1" objects="1" scenarios="1" selectLockedCells="1" selectUnlockedCells="1"/>
  <mergeCells count="1">
    <mergeCell ref="D2:F2"/>
  </mergeCells>
  <phoneticPr fontId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topLeftCell="A16" workbookViewId="0">
      <selection activeCell="C35" sqref="C35"/>
    </sheetView>
  </sheetViews>
  <sheetFormatPr defaultRowHeight="13.5"/>
  <cols>
    <col min="1" max="5" width="93.75" customWidth="1"/>
  </cols>
  <sheetData>
    <row r="1" spans="1:1">
      <c r="A1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8" spans="1:1">
      <c r="A8" t="s">
        <v>83</v>
      </c>
    </row>
    <row r="10" spans="1:1">
      <c r="A10" t="s">
        <v>84</v>
      </c>
    </row>
    <row r="12" spans="1:1">
      <c r="A12" t="s">
        <v>85</v>
      </c>
    </row>
    <row r="13" spans="1:1">
      <c r="A13" t="s">
        <v>86</v>
      </c>
    </row>
    <row r="15" spans="1:1">
      <c r="A15" t="s">
        <v>87</v>
      </c>
    </row>
    <row r="17" spans="1:5">
      <c r="A17" t="s">
        <v>88</v>
      </c>
    </row>
    <row r="18" spans="1:5">
      <c r="A18" t="s">
        <v>89</v>
      </c>
    </row>
    <row r="20" spans="1:5">
      <c r="A20" t="s">
        <v>179</v>
      </c>
    </row>
    <row r="22" spans="1:5">
      <c r="A22" t="s">
        <v>90</v>
      </c>
      <c r="B22" t="s">
        <v>91</v>
      </c>
      <c r="D22" t="s">
        <v>92</v>
      </c>
    </row>
    <row r="23" spans="1:5">
      <c r="B23" t="s">
        <v>93</v>
      </c>
      <c r="C23" t="s">
        <v>95</v>
      </c>
      <c r="D23" t="s">
        <v>97</v>
      </c>
      <c r="E23" t="s">
        <v>98</v>
      </c>
    </row>
    <row r="24" spans="1:5">
      <c r="B24" t="s">
        <v>94</v>
      </c>
      <c r="C24" t="s">
        <v>96</v>
      </c>
    </row>
    <row r="25" spans="1:5">
      <c r="A25" t="s">
        <v>99</v>
      </c>
      <c r="B25">
        <v>107.3</v>
      </c>
      <c r="C25">
        <v>109.3</v>
      </c>
      <c r="D25" t="s">
        <v>100</v>
      </c>
      <c r="E25" t="s">
        <v>100</v>
      </c>
    </row>
    <row r="26" spans="1:5">
      <c r="A26" t="s">
        <v>101</v>
      </c>
      <c r="B26">
        <v>84.78</v>
      </c>
      <c r="C26">
        <v>87.98</v>
      </c>
      <c r="D26" t="s">
        <v>100</v>
      </c>
    </row>
    <row r="27" spans="1:5">
      <c r="A27" t="s">
        <v>102</v>
      </c>
      <c r="B27">
        <v>31</v>
      </c>
      <c r="C27">
        <v>35</v>
      </c>
      <c r="D27" t="s">
        <v>100</v>
      </c>
    </row>
    <row r="28" spans="1:5">
      <c r="A28" t="s">
        <v>103</v>
      </c>
      <c r="B28">
        <v>4.84</v>
      </c>
      <c r="C28">
        <v>6.84</v>
      </c>
      <c r="D28" t="s">
        <v>100</v>
      </c>
    </row>
    <row r="29" spans="1:5">
      <c r="A29" t="s">
        <v>104</v>
      </c>
      <c r="B29">
        <v>131.91999999999999</v>
      </c>
      <c r="C29">
        <v>134.72</v>
      </c>
      <c r="D29" t="s">
        <v>100</v>
      </c>
      <c r="E29" t="s">
        <v>100</v>
      </c>
    </row>
    <row r="30" spans="1:5">
      <c r="A30" t="s">
        <v>105</v>
      </c>
      <c r="B30">
        <v>146.05000000000001</v>
      </c>
      <c r="C30">
        <v>154.05000000000001</v>
      </c>
      <c r="D30" t="s">
        <v>100</v>
      </c>
      <c r="E30" t="s">
        <v>100</v>
      </c>
    </row>
    <row r="31" spans="1:5">
      <c r="A31" t="s">
        <v>106</v>
      </c>
      <c r="B31">
        <v>114.56</v>
      </c>
      <c r="C31">
        <v>116.36</v>
      </c>
      <c r="D31" t="s">
        <v>100</v>
      </c>
      <c r="E31" t="s">
        <v>100</v>
      </c>
    </row>
    <row r="32" spans="1:5">
      <c r="A32" t="s">
        <v>107</v>
      </c>
      <c r="B32">
        <v>13.09</v>
      </c>
      <c r="C32">
        <v>13.89</v>
      </c>
      <c r="D32" t="s">
        <v>100</v>
      </c>
    </row>
    <row r="33" spans="1:5">
      <c r="A33" t="s">
        <v>108</v>
      </c>
      <c r="B33">
        <v>17.66</v>
      </c>
      <c r="C33">
        <v>18.260000000000002</v>
      </c>
      <c r="D33" t="s">
        <v>100</v>
      </c>
    </row>
    <row r="34" spans="1:5">
      <c r="A34" t="s">
        <v>109</v>
      </c>
      <c r="B34">
        <v>13.45</v>
      </c>
      <c r="C34">
        <v>14.05</v>
      </c>
      <c r="D34" t="s">
        <v>100</v>
      </c>
    </row>
    <row r="35" spans="1:5">
      <c r="A35" t="s">
        <v>110</v>
      </c>
      <c r="B35">
        <v>16.850000000000001</v>
      </c>
      <c r="C35">
        <v>17.45</v>
      </c>
      <c r="D35" t="s">
        <v>100</v>
      </c>
    </row>
    <row r="36" spans="1:5">
      <c r="A36" t="s">
        <v>111</v>
      </c>
      <c r="B36">
        <v>13.48</v>
      </c>
      <c r="C36">
        <v>14.34</v>
      </c>
      <c r="D36" t="s">
        <v>100</v>
      </c>
    </row>
    <row r="37" spans="1:5">
      <c r="A37" t="s">
        <v>112</v>
      </c>
      <c r="B37">
        <v>335</v>
      </c>
      <c r="C37">
        <v>351</v>
      </c>
      <c r="D37" t="s">
        <v>100</v>
      </c>
    </row>
    <row r="38" spans="1:5">
      <c r="A38" t="s">
        <v>113</v>
      </c>
      <c r="B38">
        <v>81.25</v>
      </c>
      <c r="C38">
        <v>82.91</v>
      </c>
      <c r="D38" t="s">
        <v>100</v>
      </c>
    </row>
    <row r="39" spans="1:5">
      <c r="A39" t="s">
        <v>114</v>
      </c>
      <c r="B39">
        <v>82.73</v>
      </c>
      <c r="C39">
        <v>87.73</v>
      </c>
      <c r="D39" t="s">
        <v>100</v>
      </c>
      <c r="E39" t="s">
        <v>100</v>
      </c>
    </row>
    <row r="40" spans="1:5">
      <c r="A40" t="s">
        <v>115</v>
      </c>
      <c r="B40">
        <v>76.180000000000007</v>
      </c>
      <c r="C40">
        <v>81.28</v>
      </c>
      <c r="D40" t="s">
        <v>100</v>
      </c>
      <c r="E40" t="s">
        <v>100</v>
      </c>
    </row>
    <row r="41" spans="1:5">
      <c r="A41" t="s">
        <v>116</v>
      </c>
      <c r="B41">
        <v>26.14</v>
      </c>
      <c r="C41">
        <v>31.14</v>
      </c>
      <c r="D41" t="s">
        <v>100</v>
      </c>
    </row>
    <row r="42" spans="1:5">
      <c r="A42" t="s">
        <v>117</v>
      </c>
      <c r="B42">
        <v>8.1199999999999992</v>
      </c>
      <c r="C42">
        <v>10.119999999999999</v>
      </c>
      <c r="D42" t="s">
        <v>100</v>
      </c>
    </row>
    <row r="44" spans="1:5">
      <c r="A44" t="s">
        <v>118</v>
      </c>
    </row>
    <row r="46" spans="1:5">
      <c r="A46" t="s">
        <v>119</v>
      </c>
    </row>
    <row r="47" spans="1:5">
      <c r="A47" t="s">
        <v>120</v>
      </c>
    </row>
    <row r="48" spans="1:5">
      <c r="A48" t="s">
        <v>121</v>
      </c>
    </row>
    <row r="49" spans="1:1">
      <c r="A49" t="s">
        <v>122</v>
      </c>
    </row>
    <row r="50" spans="1:1">
      <c r="A50" t="s">
        <v>123</v>
      </c>
    </row>
    <row r="52" spans="1:1">
      <c r="A52" t="s">
        <v>124</v>
      </c>
    </row>
    <row r="54" spans="1:1">
      <c r="A54" t="s">
        <v>125</v>
      </c>
    </row>
    <row r="55" spans="1:1">
      <c r="A55" t="s">
        <v>126</v>
      </c>
    </row>
    <row r="57" spans="1:1">
      <c r="A57" t="s">
        <v>127</v>
      </c>
    </row>
    <row r="59" spans="1:1">
      <c r="A59" t="s">
        <v>128</v>
      </c>
    </row>
    <row r="61" spans="1:1">
      <c r="A61" t="s">
        <v>129</v>
      </c>
    </row>
    <row r="63" spans="1:1">
      <c r="A63" t="s">
        <v>130</v>
      </c>
    </row>
    <row r="64" spans="1:1">
      <c r="A64" t="s">
        <v>131</v>
      </c>
    </row>
    <row r="65" spans="1:1">
      <c r="A65" t="s">
        <v>132</v>
      </c>
    </row>
    <row r="66" spans="1:1">
      <c r="A66" t="s">
        <v>133</v>
      </c>
    </row>
    <row r="68" spans="1:1">
      <c r="A68" t="s">
        <v>134</v>
      </c>
    </row>
    <row r="70" spans="1:1">
      <c r="A70" t="s">
        <v>135</v>
      </c>
    </row>
    <row r="71" spans="1:1">
      <c r="A71" t="s">
        <v>136</v>
      </c>
    </row>
    <row r="72" spans="1:1">
      <c r="A72" t="s">
        <v>137</v>
      </c>
    </row>
    <row r="73" spans="1:1">
      <c r="A73" t="s">
        <v>138</v>
      </c>
    </row>
    <row r="74" spans="1:1">
      <c r="A74" t="s">
        <v>139</v>
      </c>
    </row>
    <row r="75" spans="1:1">
      <c r="A75" t="s">
        <v>140</v>
      </c>
    </row>
    <row r="76" spans="1:1">
      <c r="A76" t="s">
        <v>141</v>
      </c>
    </row>
    <row r="78" spans="1:1">
      <c r="A78" t="s">
        <v>142</v>
      </c>
    </row>
    <row r="80" spans="1:1">
      <c r="A80" t="s">
        <v>143</v>
      </c>
    </row>
    <row r="81" spans="1:1">
      <c r="A81" t="s">
        <v>144</v>
      </c>
    </row>
    <row r="83" spans="1:1">
      <c r="A83" t="s">
        <v>145</v>
      </c>
    </row>
    <row r="85" spans="1:1">
      <c r="A85" t="s">
        <v>146</v>
      </c>
    </row>
    <row r="86" spans="1:1">
      <c r="A86" t="s">
        <v>147</v>
      </c>
    </row>
    <row r="87" spans="1:1">
      <c r="A87" t="s">
        <v>148</v>
      </c>
    </row>
    <row r="88" spans="1:1">
      <c r="A88" t="s">
        <v>149</v>
      </c>
    </row>
    <row r="89" spans="1:1">
      <c r="A89" t="s">
        <v>150</v>
      </c>
    </row>
  </sheetData>
  <phoneticPr fontId="1"/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2" sqref="A2"/>
    </sheetView>
  </sheetViews>
  <sheetFormatPr defaultRowHeight="13.5"/>
  <cols>
    <col min="1" max="1" width="29.125" bestFit="1" customWidth="1"/>
  </cols>
  <sheetData>
    <row r="1" spans="1:2">
      <c r="A1" t="s">
        <v>34</v>
      </c>
      <c r="B1">
        <v>1</v>
      </c>
    </row>
    <row r="2" spans="1:2">
      <c r="A2" t="s">
        <v>33</v>
      </c>
      <c r="B2">
        <v>3</v>
      </c>
    </row>
  </sheetData>
  <phoneticPr fontId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>
      <selection activeCell="A9" sqref="A9"/>
    </sheetView>
  </sheetViews>
  <sheetFormatPr defaultRowHeight="13.5"/>
  <cols>
    <col min="1" max="1" width="29" bestFit="1" customWidth="1"/>
  </cols>
  <sheetData>
    <row r="1" spans="1:2">
      <c r="A1" t="s">
        <v>36</v>
      </c>
      <c r="B1">
        <v>2</v>
      </c>
    </row>
    <row r="2" spans="1:2">
      <c r="A2" t="s">
        <v>35</v>
      </c>
      <c r="B2">
        <v>6</v>
      </c>
    </row>
  </sheetData>
  <phoneticPr fontId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7" sqref="B7"/>
    </sheetView>
  </sheetViews>
  <sheetFormatPr defaultRowHeight="13.5"/>
  <cols>
    <col min="1" max="1" width="37.125" customWidth="1"/>
  </cols>
  <sheetData>
    <row r="1" spans="1:2">
      <c r="A1" t="s">
        <v>32</v>
      </c>
      <c r="B1">
        <v>2</v>
      </c>
    </row>
    <row r="2" spans="1:2">
      <c r="A2" t="s">
        <v>31</v>
      </c>
      <c r="B2">
        <v>4</v>
      </c>
    </row>
    <row r="5" spans="1:2">
      <c r="A5" t="s">
        <v>38</v>
      </c>
      <c r="B5">
        <v>1</v>
      </c>
    </row>
    <row r="6" spans="1:2">
      <c r="A6" t="s">
        <v>37</v>
      </c>
      <c r="B6">
        <v>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2</vt:i4>
      </vt:variant>
    </vt:vector>
  </HeadingPairs>
  <TitlesOfParts>
    <vt:vector size="12" baseType="lpstr">
      <vt:lpstr>重量計算</vt:lpstr>
      <vt:lpstr>送料</vt:lpstr>
      <vt:lpstr>PP送料</vt:lpstr>
      <vt:lpstr>格安送料</vt:lpstr>
      <vt:lpstr>格安送料(PP)</vt:lpstr>
      <vt:lpstr>為替レート</vt:lpstr>
      <vt:lpstr>梱包計測サービス</vt:lpstr>
      <vt:lpstr>重量計測</vt:lpstr>
      <vt:lpstr>商品計測</vt:lpstr>
      <vt:lpstr>詳細検品</vt:lpstr>
      <vt:lpstr>為替レート!ExchangeServlet?ScreenID_tento</vt:lpstr>
      <vt:lpstr>重量計算!Print_Area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2018-02-13T06:18:06Z</dcterms:modified>
</cp:coreProperties>
</file>